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T:\Investment and Funding\Local Plan\A Local Plan - Post Comments for submission\"/>
    </mc:Choice>
  </mc:AlternateContent>
  <xr:revisionPtr revIDLastSave="0" documentId="13_ncr:1_{DC60E0CD-22CB-4A76-B658-5C36FF3EAD7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1 A1 Disc Sup" sheetId="62" r:id="rId1"/>
    <sheet name="G2 Retail Ware" sheetId="63" r:id="rId2"/>
    <sheet name="G3 A1 - A5" sheetId="64" r:id="rId3"/>
    <sheet name="G4 B1a" sheetId="65" r:id="rId4"/>
    <sheet name="G5 B1a (2)" sheetId="73" r:id="rId5"/>
    <sheet name="G6 B1c" sheetId="66" r:id="rId6"/>
    <sheet name="G7 B2" sheetId="67" r:id="rId7"/>
    <sheet name="G8 B8" sheetId="68" r:id="rId8"/>
    <sheet name="G9 C1" sheetId="69" r:id="rId9"/>
    <sheet name="G10 D2" sheetId="70" r:id="rId10"/>
  </sheets>
  <externalReferences>
    <externalReference r:id="rId11"/>
  </externalReferences>
  <definedNames>
    <definedName name="_24MCF">#REF!</definedName>
    <definedName name="a">[1]BCR!$O$175</definedName>
    <definedName name="d">[1]BCR!$O$178</definedName>
    <definedName name="e">[1]BCR!$O$179</definedName>
    <definedName name="f">[1]BCR!$O$180</definedName>
    <definedName name="g">[1]BCR!$O$177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66" l="1"/>
  <c r="D3" i="73"/>
  <c r="D3" i="65"/>
  <c r="D3" i="64"/>
  <c r="D3" i="62"/>
  <c r="D3" i="67"/>
  <c r="D3" i="70"/>
  <c r="D3" i="69"/>
  <c r="D3" i="68"/>
  <c r="F40" i="63"/>
  <c r="D3" i="63"/>
  <c r="F40" i="62"/>
  <c r="F17" i="67" l="1"/>
  <c r="F18" i="67" s="1"/>
  <c r="F20" i="67" s="1"/>
  <c r="F25" i="73"/>
  <c r="F16" i="73"/>
  <c r="F17" i="73" s="1"/>
  <c r="F18" i="73" s="1"/>
  <c r="E16" i="73"/>
  <c r="D16" i="73"/>
  <c r="H13" i="73"/>
  <c r="I13" i="73" s="1"/>
  <c r="E8" i="73"/>
  <c r="F7" i="73"/>
  <c r="F8" i="73" s="1"/>
  <c r="G8" i="73" s="1"/>
  <c r="F3" i="73"/>
  <c r="C7" i="73" s="1"/>
  <c r="E16" i="70"/>
  <c r="D16" i="70"/>
  <c r="E16" i="69"/>
  <c r="D16" i="69"/>
  <c r="E16" i="68"/>
  <c r="D16" i="68"/>
  <c r="E16" i="67"/>
  <c r="F16" i="67" s="1"/>
  <c r="D16" i="67"/>
  <c r="E16" i="66"/>
  <c r="D16" i="66"/>
  <c r="E16" i="65"/>
  <c r="D16" i="65"/>
  <c r="E16" i="64"/>
  <c r="D16" i="64"/>
  <c r="E16" i="63"/>
  <c r="F16" i="63" s="1"/>
  <c r="F17" i="63" s="1"/>
  <c r="F18" i="63" s="1"/>
  <c r="D16" i="63"/>
  <c r="E16" i="62"/>
  <c r="D16" i="62"/>
  <c r="H13" i="70"/>
  <c r="I13" i="70" s="1"/>
  <c r="E8" i="70"/>
  <c r="F7" i="70"/>
  <c r="F3" i="70"/>
  <c r="F26" i="70" s="1"/>
  <c r="I13" i="69"/>
  <c r="H13" i="69"/>
  <c r="E8" i="69"/>
  <c r="F7" i="69"/>
  <c r="F8" i="69" s="1"/>
  <c r="F3" i="69"/>
  <c r="H13" i="68"/>
  <c r="I13" i="68" s="1"/>
  <c r="E8" i="68"/>
  <c r="F7" i="68"/>
  <c r="F3" i="68"/>
  <c r="F26" i="68" s="1"/>
  <c r="H13" i="67"/>
  <c r="I13" i="67" s="1"/>
  <c r="E8" i="67"/>
  <c r="F7" i="67"/>
  <c r="F3" i="67"/>
  <c r="F26" i="67" s="1"/>
  <c r="H13" i="66"/>
  <c r="I13" i="66" s="1"/>
  <c r="E8" i="66"/>
  <c r="F7" i="66"/>
  <c r="F3" i="66"/>
  <c r="F26" i="66" s="1"/>
  <c r="H13" i="65"/>
  <c r="I13" i="65" s="1"/>
  <c r="E8" i="65"/>
  <c r="F7" i="65"/>
  <c r="F8" i="65" s="1"/>
  <c r="F3" i="65"/>
  <c r="C7" i="65" s="1"/>
  <c r="H13" i="64"/>
  <c r="I13" i="64" s="1"/>
  <c r="E8" i="64"/>
  <c r="F7" i="64"/>
  <c r="F3" i="64"/>
  <c r="F26" i="64" s="1"/>
  <c r="H13" i="63"/>
  <c r="I13" i="63" s="1"/>
  <c r="E8" i="63"/>
  <c r="F7" i="63"/>
  <c r="F3" i="63"/>
  <c r="F26" i="63" s="1"/>
  <c r="I13" i="62"/>
  <c r="H13" i="62"/>
  <c r="E8" i="62"/>
  <c r="F7" i="62"/>
  <c r="F3" i="62"/>
  <c r="F26" i="62" s="1"/>
  <c r="F16" i="66" l="1"/>
  <c r="F17" i="66" s="1"/>
  <c r="F18" i="66" s="1"/>
  <c r="F22" i="73"/>
  <c r="F20" i="73"/>
  <c r="F16" i="65"/>
  <c r="F17" i="65" s="1"/>
  <c r="F18" i="65" s="1"/>
  <c r="F22" i="67"/>
  <c r="F16" i="70"/>
  <c r="F17" i="70" s="1"/>
  <c r="F18" i="70" s="1"/>
  <c r="F22" i="70" s="1"/>
  <c r="F26" i="69"/>
  <c r="C7" i="69"/>
  <c r="F16" i="69"/>
  <c r="F17" i="69" s="1"/>
  <c r="F18" i="69" s="1"/>
  <c r="F16" i="68"/>
  <c r="F17" i="68" s="1"/>
  <c r="F18" i="68" s="1"/>
  <c r="F16" i="64"/>
  <c r="F17" i="64" s="1"/>
  <c r="F18" i="64" s="1"/>
  <c r="F22" i="64" s="1"/>
  <c r="F20" i="63"/>
  <c r="F22" i="63"/>
  <c r="F10" i="73"/>
  <c r="F12" i="73" s="1"/>
  <c r="F26" i="73"/>
  <c r="F27" i="73" s="1"/>
  <c r="F16" i="62"/>
  <c r="F17" i="62" s="1"/>
  <c r="F18" i="62" s="1"/>
  <c r="F26" i="65"/>
  <c r="F25" i="65"/>
  <c r="G8" i="65"/>
  <c r="F10" i="65" s="1"/>
  <c r="F12" i="65" s="1"/>
  <c r="G8" i="70"/>
  <c r="F8" i="70"/>
  <c r="F25" i="70"/>
  <c r="F27" i="70" s="1"/>
  <c r="F25" i="69"/>
  <c r="F27" i="69" s="1"/>
  <c r="G8" i="69"/>
  <c r="C7" i="68"/>
  <c r="G8" i="68" s="1"/>
  <c r="F8" i="68"/>
  <c r="F25" i="68"/>
  <c r="F27" i="68" s="1"/>
  <c r="C7" i="67"/>
  <c r="F8" i="67"/>
  <c r="F25" i="67"/>
  <c r="F27" i="67" s="1"/>
  <c r="C7" i="66"/>
  <c r="F8" i="66"/>
  <c r="F25" i="66"/>
  <c r="F27" i="66" s="1"/>
  <c r="C7" i="64"/>
  <c r="F8" i="64"/>
  <c r="F25" i="64"/>
  <c r="F27" i="64" s="1"/>
  <c r="F8" i="63"/>
  <c r="C7" i="63"/>
  <c r="G8" i="63" s="1"/>
  <c r="F25" i="63"/>
  <c r="F27" i="63" s="1"/>
  <c r="C7" i="62"/>
  <c r="F8" i="62"/>
  <c r="F25" i="62"/>
  <c r="F27" i="62" s="1"/>
  <c r="G8" i="66" l="1"/>
  <c r="F10" i="66" s="1"/>
  <c r="F12" i="66" s="1"/>
  <c r="F22" i="66"/>
  <c r="F20" i="66"/>
  <c r="F22" i="65"/>
  <c r="F20" i="65"/>
  <c r="F20" i="70"/>
  <c r="F33" i="70" s="1"/>
  <c r="F20" i="69"/>
  <c r="F22" i="69"/>
  <c r="F22" i="68"/>
  <c r="F20" i="68"/>
  <c r="G8" i="67"/>
  <c r="F10" i="67" s="1"/>
  <c r="F12" i="67" s="1"/>
  <c r="G8" i="62"/>
  <c r="F10" i="62" s="1"/>
  <c r="F12" i="62" s="1"/>
  <c r="F20" i="64"/>
  <c r="G8" i="64"/>
  <c r="F10" i="64" s="1"/>
  <c r="F12" i="64" s="1"/>
  <c r="F30" i="73"/>
  <c r="F29" i="73"/>
  <c r="F27" i="65"/>
  <c r="F10" i="70"/>
  <c r="F12" i="70" s="1"/>
  <c r="F10" i="69"/>
  <c r="F12" i="69" s="1"/>
  <c r="F10" i="68"/>
  <c r="F12" i="68" s="1"/>
  <c r="F30" i="65"/>
  <c r="F29" i="65"/>
  <c r="F10" i="63"/>
  <c r="F12" i="63" s="1"/>
  <c r="F31" i="73" l="1"/>
  <c r="F31" i="65"/>
  <c r="F30" i="70"/>
  <c r="F29" i="70"/>
  <c r="F30" i="69"/>
  <c r="F29" i="69"/>
  <c r="F30" i="68"/>
  <c r="F29" i="68"/>
  <c r="F30" i="67"/>
  <c r="F29" i="67"/>
  <c r="F31" i="67" s="1"/>
  <c r="F30" i="66"/>
  <c r="F29" i="66"/>
  <c r="F30" i="64"/>
  <c r="F29" i="64"/>
  <c r="F29" i="63"/>
  <c r="F30" i="63"/>
  <c r="F30" i="62"/>
  <c r="F29" i="62"/>
  <c r="F31" i="68" l="1"/>
  <c r="F33" i="67"/>
  <c r="F35" i="67" s="1"/>
  <c r="F37" i="67" s="1"/>
  <c r="F39" i="67" s="1"/>
  <c r="F33" i="73"/>
  <c r="F35" i="73" s="1"/>
  <c r="F37" i="73" s="1"/>
  <c r="F39" i="73" s="1"/>
  <c r="F33" i="65"/>
  <c r="F35" i="65" s="1"/>
  <c r="F37" i="65" s="1"/>
  <c r="F39" i="65" s="1"/>
  <c r="F31" i="62"/>
  <c r="F31" i="70"/>
  <c r="F35" i="70" s="1"/>
  <c r="F37" i="70" s="1"/>
  <c r="F39" i="70" s="1"/>
  <c r="F31" i="69"/>
  <c r="F31" i="66"/>
  <c r="F31" i="64"/>
  <c r="F31" i="63"/>
  <c r="F33" i="69" l="1"/>
  <c r="F35" i="69" s="1"/>
  <c r="F37" i="69" s="1"/>
  <c r="F39" i="69" s="1"/>
  <c r="F33" i="68"/>
  <c r="F35" i="68" s="1"/>
  <c r="F37" i="68" s="1"/>
  <c r="F39" i="68" s="1"/>
  <c r="F33" i="66"/>
  <c r="F35" i="66" s="1"/>
  <c r="F37" i="66" s="1"/>
  <c r="F39" i="66" s="1"/>
  <c r="F33" i="64"/>
  <c r="F35" i="64" s="1"/>
  <c r="F37" i="64" s="1"/>
  <c r="F39" i="64" s="1"/>
  <c r="F33" i="63"/>
  <c r="F35" i="63" s="1"/>
  <c r="F37" i="63" s="1"/>
  <c r="F39" i="63" s="1"/>
  <c r="F20" i="62"/>
  <c r="F22" i="62"/>
  <c r="F33" i="62"/>
  <c r="F35" i="62"/>
  <c r="F37" i="62"/>
  <c r="F39" i="62"/>
</calcChain>
</file>

<file path=xl/sharedStrings.xml><?xml version="1.0" encoding="utf-8"?>
<sst xmlns="http://schemas.openxmlformats.org/spreadsheetml/2006/main" count="304" uniqueCount="31">
  <si>
    <t>Contingency</t>
  </si>
  <si>
    <t>Marketing</t>
  </si>
  <si>
    <t>Units</t>
  </si>
  <si>
    <t>sq ft</t>
  </si>
  <si>
    <t>Revenue</t>
  </si>
  <si>
    <t>Type 1</t>
  </si>
  <si>
    <t>ft2</t>
  </si>
  <si>
    <t>Rate £/ psf</t>
  </si>
  <si>
    <t>Initial MRV / Unit</t>
  </si>
  <si>
    <t>Investment Valuation</t>
  </si>
  <si>
    <t>Market Rent</t>
  </si>
  <si>
    <t>(1 yr Rent Free)</t>
  </si>
  <si>
    <t>PV 1 yr</t>
  </si>
  <si>
    <t>YP @</t>
  </si>
  <si>
    <t>Purhcasers costs</t>
  </si>
  <si>
    <t>Net Development Value</t>
  </si>
  <si>
    <t>Construction costs</t>
  </si>
  <si>
    <t>Profesional fees</t>
  </si>
  <si>
    <t>Sales Agent Fee</t>
  </si>
  <si>
    <t>Sales Legal Fee</t>
  </si>
  <si>
    <t>Total Cost</t>
  </si>
  <si>
    <t>Profit on cost</t>
  </si>
  <si>
    <t>Residual Land Value</t>
  </si>
  <si>
    <t>Letting Agent Fee (% yr 1 rent)</t>
  </si>
  <si>
    <t>Letting Legal Fee (% Yr 1 rent)</t>
  </si>
  <si>
    <t>Rooms</t>
  </si>
  <si>
    <t>psm</t>
  </si>
  <si>
    <t>BLV</t>
  </si>
  <si>
    <t>Externals</t>
  </si>
  <si>
    <t>Total Build</t>
  </si>
  <si>
    <t>build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</si>
</sst>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_-* #,##0_-;\-* #,##0_-;_-* &quot;-&quot;??_-;_-@_-"/>
    <numFmt numFmtId="166" formatCode="0.000"/>
    <numFmt numFmtId="172" formatCode="_-* #,##0.0000_-;\-* #,##0.0000_-;_-* &quot;-&quot;??_-;_-@_-"/>
    <numFmt numFmtId="173" formatCode="#,##0;[Red]\(#,##0\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</cellStyleXfs>
  <cellXfs count="24">
    <xf numFmtId="0" fontId="0" fillId="0" borderId="0" xfId="0"/>
    <xf numFmtId="9" fontId="0" fillId="0" borderId="0" xfId="0" applyNumberFormat="1"/>
    <xf numFmtId="0" fontId="0" fillId="2" borderId="0" xfId="0" applyFill="1"/>
    <xf numFmtId="9" fontId="0" fillId="2" borderId="0" xfId="0" applyNumberFormat="1" applyFill="1"/>
    <xf numFmtId="43" fontId="0" fillId="0" borderId="0" xfId="0" applyNumberFormat="1"/>
    <xf numFmtId="0" fontId="0" fillId="3" borderId="0" xfId="0" applyFill="1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165" fontId="0" fillId="0" borderId="1" xfId="1" applyNumberFormat="1" applyFont="1" applyBorder="1"/>
    <xf numFmtId="165" fontId="0" fillId="0" borderId="1" xfId="0" applyNumberFormat="1" applyBorder="1"/>
    <xf numFmtId="165" fontId="0" fillId="2" borderId="1" xfId="1" applyNumberFormat="1" applyFont="1" applyFill="1" applyBorder="1"/>
    <xf numFmtId="43" fontId="0" fillId="2" borderId="1" xfId="1" applyNumberFormat="1" applyFont="1" applyFill="1" applyBorder="1"/>
    <xf numFmtId="172" fontId="0" fillId="0" borderId="1" xfId="1" applyNumberFormat="1" applyFont="1" applyBorder="1"/>
    <xf numFmtId="10" fontId="0" fillId="2" borderId="0" xfId="0" applyNumberFormat="1" applyFill="1"/>
    <xf numFmtId="165" fontId="0" fillId="3" borderId="1" xfId="1" applyNumberFormat="1" applyFont="1" applyFill="1" applyBorder="1"/>
    <xf numFmtId="166" fontId="0" fillId="3" borderId="0" xfId="0" applyNumberFormat="1" applyFont="1" applyFill="1"/>
    <xf numFmtId="173" fontId="0" fillId="0" borderId="0" xfId="0" applyNumberFormat="1"/>
    <xf numFmtId="173" fontId="3" fillId="0" borderId="0" xfId="0" applyNumberFormat="1" applyFont="1"/>
    <xf numFmtId="172" fontId="0" fillId="2" borderId="0" xfId="1" applyNumberFormat="1" applyFont="1" applyFill="1"/>
    <xf numFmtId="172" fontId="0" fillId="0" borderId="0" xfId="1" applyNumberFormat="1" applyFont="1"/>
    <xf numFmtId="165" fontId="0" fillId="3" borderId="0" xfId="1" applyNumberFormat="1" applyFont="1" applyFill="1" applyBorder="1"/>
    <xf numFmtId="43" fontId="0" fillId="3" borderId="0" xfId="1" applyNumberFormat="1" applyFont="1" applyFill="1" applyBorder="1"/>
  </cellXfs>
  <cellStyles count="4">
    <cellStyle name="Comma" xfId="1" builtinId="3"/>
    <cellStyle name="Normal" xfId="0" builtinId="0"/>
    <cellStyle name="Normal 2" xfId="2" xr:uid="{A576274D-3ED7-4D00-A004-0C68348B5985}"/>
    <cellStyle name="Normal 3" xfId="3" xr:uid="{D2A8E0FC-B9CE-4D54-8445-028E53175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ment%20and%20Funding\Copy%20of%20The%20Investment%20and%20Funding%20Plan%20V4.1%20SM271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s"/>
      <sheetName val="ATVCA2"/>
      <sheetName val="ATVCA"/>
      <sheetName val="I&amp;F Project Database"/>
      <sheetName val="PM report"/>
      <sheetName val="Outputs Detailled"/>
      <sheetName val="Narrative"/>
      <sheetName val="BCR EOI"/>
      <sheetName val="BCR"/>
      <sheetName val="BCR 2 Ingenium"/>
      <sheetName val="BCR Ingenium"/>
      <sheetName val="BCR Morton"/>
      <sheetName val="BCR Temp"/>
      <sheetName val="I&amp;F Project Plan"/>
      <sheetName val="LGF Project template"/>
      <sheetName val="LGF Evidence Checklist"/>
      <sheetName val="CRM Database"/>
      <sheetName val="TVU programme Summary Total"/>
      <sheetName val="TVU Programme Summary Top"/>
      <sheetName val="TVU Programme GZ Summary "/>
      <sheetName val="TVU Headline top 6"/>
      <sheetName val="TVU Programme GZ Detailed"/>
      <sheetName val="TVU programme headlines"/>
      <sheetName val="Milestones"/>
      <sheetName val="Top 6 10 year plan"/>
      <sheetName val="Top 5 projects"/>
      <sheetName val="Top 10 projects"/>
      <sheetName val="Outputs Total"/>
      <sheetName val="Outputs original"/>
      <sheetName val="TVCA Themes"/>
      <sheetName val="Dashboard"/>
      <sheetName val="Programme Reports"/>
      <sheetName val="Heritage report"/>
      <sheetName val="Heritage Campus Investment Plan"/>
      <sheetName val="Portfolio Overall"/>
      <sheetName val="LGF ASK"/>
      <sheetName val="Eastern GZ"/>
      <sheetName val="N West GZ"/>
      <sheetName val="Central GZ"/>
      <sheetName val="Boroughwide"/>
      <sheetName val="Priority 1"/>
      <sheetName val="Priority 2"/>
      <sheetName val="Priority 3"/>
      <sheetName val="Priority 4"/>
      <sheetName val="Priority 5"/>
      <sheetName val="Priority 6"/>
      <sheetName val="Priority 7"/>
      <sheetName val="Priority 8"/>
      <sheetName val="Priority 9"/>
      <sheetName val="Priority 10"/>
      <sheetName val="Priority 11"/>
      <sheetName val="Partner Projects"/>
      <sheetName val="Graphs"/>
      <sheetName val="LGF DD Checklist"/>
      <sheetName val="Workings"/>
      <sheetName val="Column reference"/>
      <sheetName val="I&amp;F Reference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5">
          <cell r="O175">
            <v>0.2</v>
          </cell>
        </row>
        <row r="177">
          <cell r="O177">
            <v>0</v>
          </cell>
        </row>
        <row r="178">
          <cell r="O178">
            <v>0.25</v>
          </cell>
        </row>
        <row r="179">
          <cell r="O179">
            <v>0.12</v>
          </cell>
        </row>
        <row r="180">
          <cell r="O180">
            <v>1.772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F7B0F-F3D0-492F-9F53-4E9D0B705F62}">
  <dimension ref="A1:I40"/>
  <sheetViews>
    <sheetView showGridLines="0" tabSelected="1" workbookViewId="0">
      <pane xSplit="3" ySplit="3" topLeftCell="D25" activePane="bottomRight" state="frozen"/>
      <selection pane="topRight" activeCell="D1" sqref="D1"/>
      <selection pane="bottomLeft" activeCell="A4" sqref="A4"/>
      <selection pane="bottomRight" activeCell="C7" sqref="C7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2500*10.76</f>
        <v>26900</v>
      </c>
      <c r="E3" s="13">
        <v>15</v>
      </c>
      <c r="F3" s="10">
        <f>+E3*D3</f>
        <v>403500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403500</v>
      </c>
      <c r="D7" s="6" t="s">
        <v>13</v>
      </c>
      <c r="E7" s="15">
        <v>5.7500000000000002E-2</v>
      </c>
      <c r="F7" s="14">
        <f>1/E7</f>
        <v>17.391304347826086</v>
      </c>
    </row>
    <row r="8" spans="1:9" x14ac:dyDescent="0.35">
      <c r="A8" t="s">
        <v>11</v>
      </c>
      <c r="D8" t="s">
        <v>12</v>
      </c>
      <c r="E8" s="15">
        <f>+E7</f>
        <v>5.7500000000000002E-2</v>
      </c>
      <c r="F8" s="17">
        <f>+F7/15</f>
        <v>1.1594202898550725</v>
      </c>
      <c r="G8" s="4">
        <f>+(F7-F8)*C7</f>
        <v>6549565.2173913037</v>
      </c>
    </row>
    <row r="10" spans="1:9" x14ac:dyDescent="0.35">
      <c r="C10" t="s">
        <v>14</v>
      </c>
      <c r="E10" s="15">
        <v>6.4000000000000001E-2</v>
      </c>
      <c r="F10" s="18">
        <f>-G8*E10</f>
        <v>-419172.17391304346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6130393.0434782598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26900</v>
      </c>
      <c r="E16" s="13">
        <f>+H16/10.7649</f>
        <v>136.18333658464081</v>
      </c>
      <c r="F16" s="19">
        <f>+E16*D16</f>
        <v>3663331.7541268379</v>
      </c>
      <c r="H16">
        <v>1466</v>
      </c>
      <c r="I16" t="s">
        <v>26</v>
      </c>
    </row>
    <row r="17" spans="1:6" x14ac:dyDescent="0.35">
      <c r="D17" s="22"/>
      <c r="E17" s="23" t="s">
        <v>28</v>
      </c>
      <c r="F17" s="19">
        <f>+F16*0.15</f>
        <v>549499.76311902562</v>
      </c>
    </row>
    <row r="18" spans="1:6" x14ac:dyDescent="0.35">
      <c r="D18" s="22"/>
      <c r="E18" s="23" t="s">
        <v>29</v>
      </c>
      <c r="F18" s="19">
        <f>+F17+F16</f>
        <v>4212831.5172458636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 ca="1">+E20*$F$20</f>
        <v>241901.96959563022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 ca="1">+E22*$F$20</f>
        <v>645071.91892168066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40350</v>
      </c>
    </row>
    <row r="26" spans="1:6" x14ac:dyDescent="0.35">
      <c r="A26" t="s">
        <v>24</v>
      </c>
      <c r="E26" s="3">
        <v>0.05</v>
      </c>
      <c r="F26" s="18">
        <f>+E26*$F$3</f>
        <v>20175</v>
      </c>
    </row>
    <row r="27" spans="1:6" x14ac:dyDescent="0.35">
      <c r="F27" s="19">
        <f>SUM(F25:F26)</f>
        <v>60525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61303.930434782596</v>
      </c>
    </row>
    <row r="30" spans="1:6" x14ac:dyDescent="0.35">
      <c r="A30" t="s">
        <v>19</v>
      </c>
      <c r="E30" s="15">
        <v>5.0000000000000001E-3</v>
      </c>
      <c r="F30" s="18">
        <f>+E30*$F$12</f>
        <v>30651.965217391298</v>
      </c>
    </row>
    <row r="31" spans="1:6" x14ac:dyDescent="0.35">
      <c r="F31" s="19">
        <f>SUM(F29:F30)</f>
        <v>91955.895652173902</v>
      </c>
    </row>
    <row r="32" spans="1:6" x14ac:dyDescent="0.35">
      <c r="F32" s="18"/>
    </row>
    <row r="33" spans="1:7" x14ac:dyDescent="0.35">
      <c r="E33" t="s">
        <v>20</v>
      </c>
      <c r="F33" s="18">
        <f ca="1">+F31+F27+F22+F20+F18</f>
        <v>1772100.29150294</v>
      </c>
    </row>
    <row r="34" spans="1:7" x14ac:dyDescent="0.35">
      <c r="F34" s="18"/>
    </row>
    <row r="35" spans="1:7" x14ac:dyDescent="0.35">
      <c r="A35" t="s">
        <v>21</v>
      </c>
      <c r="E35" s="1">
        <v>0.15</v>
      </c>
      <c r="F35" s="18">
        <f ca="1">+F33*E35</f>
        <v>702996.7662402807</v>
      </c>
    </row>
    <row r="36" spans="1:7" x14ac:dyDescent="0.35">
      <c r="F36" s="18"/>
    </row>
    <row r="37" spans="1:7" x14ac:dyDescent="0.35">
      <c r="E37" t="s">
        <v>20</v>
      </c>
      <c r="F37" s="18">
        <f ca="1">+F35+F33</f>
        <v>5389641.8745088195</v>
      </c>
    </row>
    <row r="38" spans="1:7" x14ac:dyDescent="0.35">
      <c r="F38" s="18"/>
    </row>
    <row r="39" spans="1:7" x14ac:dyDescent="0.35">
      <c r="E39" s="9" t="s">
        <v>22</v>
      </c>
      <c r="F39" s="18">
        <f ca="1">+G8-F37</f>
        <v>610358.12549117953</v>
      </c>
    </row>
    <row r="40" spans="1:7" x14ac:dyDescent="0.35">
      <c r="E40" s="9" t="s">
        <v>27</v>
      </c>
      <c r="F40" s="18">
        <f>+G40*400000</f>
        <v>104000</v>
      </c>
      <c r="G40">
        <v>0.26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9C41-AF24-42E9-914D-6B54CA3919BD}">
  <dimension ref="A1:K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10.0898437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25</v>
      </c>
      <c r="D2" s="7" t="s">
        <v>3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2800*10.76</f>
        <v>30128</v>
      </c>
      <c r="E3" s="13">
        <v>7.81</v>
      </c>
      <c r="F3" s="10">
        <f>+E3*D3</f>
        <v>235299.68</v>
      </c>
    </row>
    <row r="5" spans="1:9" x14ac:dyDescent="0.35">
      <c r="A5" t="s">
        <v>9</v>
      </c>
    </row>
    <row r="7" spans="1:9" x14ac:dyDescent="0.35">
      <c r="A7" t="s">
        <v>10</v>
      </c>
      <c r="C7" s="11">
        <v>308000</v>
      </c>
      <c r="D7" s="6" t="s">
        <v>13</v>
      </c>
      <c r="E7" s="20">
        <v>5.7500000000000002E-2</v>
      </c>
      <c r="F7" s="14">
        <f>1/E7</f>
        <v>17.391304347826086</v>
      </c>
    </row>
    <row r="8" spans="1:9" x14ac:dyDescent="0.35">
      <c r="A8" t="s">
        <v>11</v>
      </c>
      <c r="D8" t="s">
        <v>12</v>
      </c>
      <c r="E8" s="21">
        <f>+E7</f>
        <v>5.7500000000000002E-2</v>
      </c>
      <c r="F8" s="17">
        <f>+F7/15</f>
        <v>1.1594202898550725</v>
      </c>
      <c r="G8" s="4">
        <f>+(F7-F8)*C7</f>
        <v>4999420.2898550713</v>
      </c>
    </row>
    <row r="10" spans="1:9" x14ac:dyDescent="0.35">
      <c r="C10" t="s">
        <v>14</v>
      </c>
      <c r="E10" s="15">
        <v>6.4000000000000001E-2</v>
      </c>
      <c r="F10" s="18">
        <f>-G8*E10</f>
        <v>-319962.89855072455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4679457.3913043467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30128</v>
      </c>
      <c r="E16" s="13">
        <f>+H16/10.7649</f>
        <v>177.89296695742644</v>
      </c>
      <c r="F16" s="19">
        <f>+E16*D16</f>
        <v>5359559.3084933441</v>
      </c>
      <c r="H16" s="2">
        <v>1915</v>
      </c>
      <c r="I16" t="s">
        <v>26</v>
      </c>
    </row>
    <row r="17" spans="1:11" s="5" customFormat="1" x14ac:dyDescent="0.35">
      <c r="D17" s="22"/>
      <c r="E17" s="23" t="s">
        <v>28</v>
      </c>
      <c r="F17" s="19">
        <f>+F16*0.05</f>
        <v>267977.96542466723</v>
      </c>
    </row>
    <row r="18" spans="1:11" s="5" customFormat="1" x14ac:dyDescent="0.35">
      <c r="D18" s="22"/>
      <c r="E18" s="23" t="s">
        <v>29</v>
      </c>
      <c r="F18" s="19">
        <f>+F17+F16</f>
        <v>5627537.2739180112</v>
      </c>
    </row>
    <row r="19" spans="1:11" x14ac:dyDescent="0.35">
      <c r="F19" s="18"/>
    </row>
    <row r="20" spans="1:11" x14ac:dyDescent="0.35">
      <c r="A20" t="s">
        <v>0</v>
      </c>
      <c r="E20" s="3">
        <v>0.03</v>
      </c>
      <c r="F20" s="19">
        <f>+E20*$F$18</f>
        <v>168826.11821754032</v>
      </c>
      <c r="K20" s="4"/>
    </row>
    <row r="21" spans="1:11" x14ac:dyDescent="0.35">
      <c r="F21" s="18"/>
    </row>
    <row r="22" spans="1:11" x14ac:dyDescent="0.35">
      <c r="A22" t="s">
        <v>17</v>
      </c>
      <c r="E22" s="3">
        <v>0.08</v>
      </c>
      <c r="F22" s="19">
        <f>+E22*$F$18</f>
        <v>450202.98191344092</v>
      </c>
    </row>
    <row r="23" spans="1:11" x14ac:dyDescent="0.35">
      <c r="F23" s="18"/>
    </row>
    <row r="24" spans="1:11" x14ac:dyDescent="0.35">
      <c r="A24" t="s">
        <v>1</v>
      </c>
      <c r="F24" s="18"/>
    </row>
    <row r="25" spans="1:11" x14ac:dyDescent="0.35">
      <c r="A25" t="s">
        <v>23</v>
      </c>
      <c r="E25" s="3">
        <v>0.1</v>
      </c>
      <c r="F25" s="18">
        <f>+E25*$F$3</f>
        <v>23529.968000000001</v>
      </c>
    </row>
    <row r="26" spans="1:11" x14ac:dyDescent="0.35">
      <c r="A26" t="s">
        <v>24</v>
      </c>
      <c r="E26" s="3">
        <v>0.05</v>
      </c>
      <c r="F26" s="18">
        <f>+E26*$F$3</f>
        <v>11764.984</v>
      </c>
    </row>
    <row r="27" spans="1:11" x14ac:dyDescent="0.35">
      <c r="F27" s="19">
        <f>SUM(F25:F26)</f>
        <v>35294.952000000005</v>
      </c>
    </row>
    <row r="28" spans="1:11" x14ac:dyDescent="0.35">
      <c r="F28" s="18"/>
    </row>
    <row r="29" spans="1:11" x14ac:dyDescent="0.35">
      <c r="A29" t="s">
        <v>18</v>
      </c>
      <c r="E29" s="3">
        <v>0.01</v>
      </c>
      <c r="F29" s="18">
        <f>+E29*$F$12</f>
        <v>46794.573913043467</v>
      </c>
    </row>
    <row r="30" spans="1:11" x14ac:dyDescent="0.35">
      <c r="A30" t="s">
        <v>19</v>
      </c>
      <c r="E30" s="15">
        <v>5.0000000000000001E-3</v>
      </c>
      <c r="F30" s="18">
        <f>+E30*$F$12</f>
        <v>23397.286956521733</v>
      </c>
    </row>
    <row r="31" spans="1:11" x14ac:dyDescent="0.35">
      <c r="F31" s="19">
        <f>SUM(F29:F30)</f>
        <v>70191.860869565193</v>
      </c>
    </row>
    <row r="32" spans="1:11" x14ac:dyDescent="0.35">
      <c r="F32" s="18"/>
    </row>
    <row r="33" spans="1:6" x14ac:dyDescent="0.35">
      <c r="E33" t="s">
        <v>20</v>
      </c>
      <c r="F33" s="18">
        <f>+F31+F27+F22+F20+F18</f>
        <v>6352053.1869185576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952807.97803778364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7304861.1649563415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-2305440.8751012702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D0C0-B415-4F46-8B2E-1AA0B01B971D}">
  <dimension ref="A1:I40"/>
  <sheetViews>
    <sheetView showGridLines="0" workbookViewId="0">
      <pane xSplit="3" ySplit="3" topLeftCell="D10" activePane="bottomRight" state="frozen"/>
      <selection activeCell="H32" sqref="H32"/>
      <selection pane="topRight" activeCell="H32" sqref="H32"/>
      <selection pane="bottomLeft" activeCell="H32" sqref="H32"/>
      <selection pane="bottomRight" activeCell="G45" sqref="G45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2300*10.76</f>
        <v>24748</v>
      </c>
      <c r="E3" s="13">
        <v>10</v>
      </c>
      <c r="F3" s="10">
        <f>+E3*D3</f>
        <v>247480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247480</v>
      </c>
      <c r="D7" s="6" t="s">
        <v>13</v>
      </c>
      <c r="E7" s="15">
        <v>7.0000000000000007E-2</v>
      </c>
      <c r="F7" s="14">
        <f>1/E7</f>
        <v>14.285714285714285</v>
      </c>
    </row>
    <row r="8" spans="1:9" x14ac:dyDescent="0.35">
      <c r="A8" t="s">
        <v>11</v>
      </c>
      <c r="D8" t="s">
        <v>12</v>
      </c>
      <c r="E8" s="15">
        <f>+E7</f>
        <v>7.0000000000000007E-2</v>
      </c>
      <c r="F8" s="17">
        <f>+F7/15</f>
        <v>0.95238095238095233</v>
      </c>
      <c r="G8" s="4">
        <f>+(F7-F8)*C7</f>
        <v>3299733.333333333</v>
      </c>
    </row>
    <row r="10" spans="1:9" x14ac:dyDescent="0.35">
      <c r="C10" t="s">
        <v>14</v>
      </c>
      <c r="E10" s="15">
        <v>6.4000000000000001E-2</v>
      </c>
      <c r="F10" s="18">
        <f>-G8*E10</f>
        <v>-211182.93333333332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3088550.4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24748</v>
      </c>
      <c r="E16" s="13">
        <f>+H16/10.7649</f>
        <v>77.195329264554246</v>
      </c>
      <c r="F16" s="19">
        <f>+E16*D16</f>
        <v>1910430.0086391885</v>
      </c>
      <c r="H16">
        <v>831</v>
      </c>
      <c r="I16" t="s">
        <v>26</v>
      </c>
    </row>
    <row r="17" spans="1:6" x14ac:dyDescent="0.35">
      <c r="D17" s="22"/>
      <c r="E17" s="23" t="s">
        <v>28</v>
      </c>
      <c r="F17" s="19">
        <f>+F16*0.15</f>
        <v>286564.50129587826</v>
      </c>
    </row>
    <row r="18" spans="1:6" x14ac:dyDescent="0.35">
      <c r="D18" s="22"/>
      <c r="E18" s="23" t="s">
        <v>29</v>
      </c>
      <c r="F18" s="19">
        <f>+F17+F16</f>
        <v>2196994.5099350666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65909.835298051999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175759.56079480532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24748</v>
      </c>
    </row>
    <row r="26" spans="1:6" x14ac:dyDescent="0.35">
      <c r="A26" t="s">
        <v>24</v>
      </c>
      <c r="E26" s="3">
        <v>0.05</v>
      </c>
      <c r="F26" s="18">
        <f>+E26*$F$3</f>
        <v>12374</v>
      </c>
    </row>
    <row r="27" spans="1:6" x14ac:dyDescent="0.35">
      <c r="F27" s="19">
        <f>SUM(F25:F26)</f>
        <v>37122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30885.504000000001</v>
      </c>
    </row>
    <row r="30" spans="1:6" x14ac:dyDescent="0.35">
      <c r="A30" t="s">
        <v>19</v>
      </c>
      <c r="E30" s="15">
        <v>5.0000000000000001E-3</v>
      </c>
      <c r="F30" s="18">
        <f>+E30*$F$12</f>
        <v>15442.752</v>
      </c>
    </row>
    <row r="31" spans="1:6" x14ac:dyDescent="0.35">
      <c r="F31" s="19">
        <f>SUM(F29:F30)</f>
        <v>46328.256000000001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2522114.1620279239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378317.12430418859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2900431.2863321123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399302.04700122075</v>
      </c>
    </row>
    <row r="40" spans="1:6" x14ac:dyDescent="0.35">
      <c r="E40" t="s">
        <v>27</v>
      </c>
      <c r="F40" s="18">
        <f>0.23*800000</f>
        <v>184000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A47AD-DDE1-409C-8F5B-391884A8683C}">
  <dimension ref="A1:I40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270*10.76</f>
        <v>2905.2</v>
      </c>
      <c r="E3" s="13">
        <v>15</v>
      </c>
      <c r="F3" s="10">
        <f>+E3*D3</f>
        <v>43578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43578</v>
      </c>
      <c r="D7" s="6" t="s">
        <v>13</v>
      </c>
      <c r="E7" s="15">
        <v>0.08</v>
      </c>
      <c r="F7" s="14">
        <f>1/E7</f>
        <v>12.5</v>
      </c>
    </row>
    <row r="8" spans="1:9" x14ac:dyDescent="0.35">
      <c r="A8" t="s">
        <v>11</v>
      </c>
      <c r="D8" t="s">
        <v>12</v>
      </c>
      <c r="E8" s="15">
        <f>+E7</f>
        <v>0.08</v>
      </c>
      <c r="F8" s="17">
        <f>+F7/15</f>
        <v>0.83333333333333337</v>
      </c>
      <c r="G8" s="4">
        <f>+(F7-F8)*C7</f>
        <v>508410</v>
      </c>
    </row>
    <row r="10" spans="1:9" x14ac:dyDescent="0.35">
      <c r="C10" t="s">
        <v>14</v>
      </c>
      <c r="E10" s="15">
        <v>6.4000000000000001E-2</v>
      </c>
      <c r="F10" s="18">
        <f>-G8*E10</f>
        <v>-32538.240000000002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475871.76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2905.2</v>
      </c>
      <c r="E16" s="13">
        <f>+H16/10.7649</f>
        <v>126.89388661297363</v>
      </c>
      <c r="F16" s="19">
        <f>+E16*D16</f>
        <v>368652.11938801099</v>
      </c>
      <c r="H16">
        <v>1366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55297.81790820165</v>
      </c>
    </row>
    <row r="18" spans="1:6" s="5" customFormat="1" x14ac:dyDescent="0.35">
      <c r="D18" s="22"/>
      <c r="E18" s="23" t="s">
        <v>29</v>
      </c>
      <c r="F18" s="19">
        <f>+F17+F16</f>
        <v>423949.93729621265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12718.498118886379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33915.994983697012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4357.8</v>
      </c>
    </row>
    <row r="26" spans="1:6" x14ac:dyDescent="0.35">
      <c r="A26" t="s">
        <v>24</v>
      </c>
      <c r="E26" s="3">
        <v>0.05</v>
      </c>
      <c r="F26" s="18">
        <f>+E26*$F$3</f>
        <v>2178.9</v>
      </c>
    </row>
    <row r="27" spans="1:6" x14ac:dyDescent="0.35">
      <c r="F27" s="19">
        <f>SUM(F25:F26)</f>
        <v>6536.7000000000007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4758.7175999999999</v>
      </c>
    </row>
    <row r="30" spans="1:6" x14ac:dyDescent="0.35">
      <c r="A30" t="s">
        <v>19</v>
      </c>
      <c r="E30" s="15">
        <v>5.0000000000000001E-3</v>
      </c>
      <c r="F30" s="18">
        <f>+E30*$F$12</f>
        <v>2379.3588</v>
      </c>
    </row>
    <row r="31" spans="1:6" x14ac:dyDescent="0.35">
      <c r="F31" s="19">
        <f>SUM(F29:F30)</f>
        <v>7138.0763999999999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484259.20679879608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72638.881019819411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556898.08781861549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-48488.087818615488</v>
      </c>
    </row>
    <row r="40" spans="1:6" x14ac:dyDescent="0.35">
      <c r="E40" t="s">
        <v>27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A7EB-5CA6-49A7-A753-78489BCE0AB5}">
  <dimension ref="A1:I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1150*10.76</f>
        <v>12374</v>
      </c>
      <c r="E3" s="13">
        <v>12</v>
      </c>
      <c r="F3" s="10">
        <f>+E3*D3</f>
        <v>148488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148488</v>
      </c>
      <c r="D7" s="6" t="s">
        <v>13</v>
      </c>
      <c r="E7" s="15">
        <v>7.4999999999999997E-2</v>
      </c>
      <c r="F7" s="14">
        <f>1/E7</f>
        <v>13.333333333333334</v>
      </c>
    </row>
    <row r="8" spans="1:9" x14ac:dyDescent="0.35">
      <c r="A8" t="s">
        <v>11</v>
      </c>
      <c r="D8" t="s">
        <v>12</v>
      </c>
      <c r="E8" s="15">
        <f>+E7</f>
        <v>7.4999999999999997E-2</v>
      </c>
      <c r="F8" s="17">
        <f>+F7/15</f>
        <v>0.88888888888888895</v>
      </c>
      <c r="G8" s="4">
        <f>+(F7-F8)*C7</f>
        <v>1847850.6666666667</v>
      </c>
    </row>
    <row r="10" spans="1:9" x14ac:dyDescent="0.35">
      <c r="C10" t="s">
        <v>14</v>
      </c>
      <c r="E10" s="15">
        <v>6.4000000000000001E-2</v>
      </c>
      <c r="F10" s="18">
        <f>-G8*E10</f>
        <v>-118262.44266666667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1729588.2240000002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12374</v>
      </c>
      <c r="E16" s="13">
        <f>+H16/10.7649</f>
        <v>136.18333658464081</v>
      </c>
      <c r="F16" s="19">
        <f>+E16*D16</f>
        <v>1685132.6068983455</v>
      </c>
      <c r="H16">
        <v>1466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252769.89103475181</v>
      </c>
    </row>
    <row r="18" spans="1:6" s="5" customFormat="1" x14ac:dyDescent="0.35">
      <c r="D18" s="22"/>
      <c r="E18" s="23" t="s">
        <v>29</v>
      </c>
      <c r="F18" s="19">
        <f>+F17+F16</f>
        <v>1937902.4979330974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58137.074937992918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155032.19983464779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14848.800000000001</v>
      </c>
    </row>
    <row r="26" spans="1:6" x14ac:dyDescent="0.35">
      <c r="A26" t="s">
        <v>24</v>
      </c>
      <c r="E26" s="3">
        <v>0.05</v>
      </c>
      <c r="F26" s="18">
        <f>+E26*$F$3</f>
        <v>7424.4000000000005</v>
      </c>
    </row>
    <row r="27" spans="1:6" x14ac:dyDescent="0.35">
      <c r="F27" s="19">
        <f>SUM(F25:F26)</f>
        <v>22273.200000000001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17295.882240000003</v>
      </c>
    </row>
    <row r="30" spans="1:6" x14ac:dyDescent="0.35">
      <c r="A30" t="s">
        <v>19</v>
      </c>
      <c r="E30" s="15">
        <v>5.0000000000000001E-3</v>
      </c>
      <c r="F30" s="18">
        <f>+E30*$F$12</f>
        <v>8647.9411200000013</v>
      </c>
    </row>
    <row r="31" spans="1:6" x14ac:dyDescent="0.35">
      <c r="F31" s="19">
        <f>SUM(F29:F30)</f>
        <v>25943.823360000002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2199288.796065738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329893.31940986071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2529182.1154755987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-681331.44880893198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91D2-61BA-48FE-A905-C7D6E814D04A}">
  <dimension ref="A1:I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3200*10.76</f>
        <v>34432</v>
      </c>
      <c r="E3" s="13">
        <v>12</v>
      </c>
      <c r="F3" s="10">
        <f>+E3*D3</f>
        <v>413184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413184</v>
      </c>
      <c r="D7" s="6" t="s">
        <v>13</v>
      </c>
      <c r="E7" s="15">
        <v>0.08</v>
      </c>
      <c r="F7" s="14">
        <f>1/E7</f>
        <v>12.5</v>
      </c>
    </row>
    <row r="8" spans="1:9" x14ac:dyDescent="0.35">
      <c r="A8" t="s">
        <v>11</v>
      </c>
      <c r="D8" t="s">
        <v>12</v>
      </c>
      <c r="E8" s="15">
        <f>+E7</f>
        <v>0.08</v>
      </c>
      <c r="F8" s="17">
        <f>+F7/15</f>
        <v>0.83333333333333337</v>
      </c>
      <c r="G8" s="4">
        <f>+(F7-F8)*C7</f>
        <v>4820480</v>
      </c>
    </row>
    <row r="10" spans="1:9" x14ac:dyDescent="0.35">
      <c r="C10" t="s">
        <v>14</v>
      </c>
      <c r="E10" s="15">
        <v>6.4000000000000001E-2</v>
      </c>
      <c r="F10" s="18">
        <f>-G8*E10</f>
        <v>-308510.72000000003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4511969.2800000003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34432</v>
      </c>
      <c r="E16" s="13">
        <f>+H16/10.7649</f>
        <v>136.18333658464081</v>
      </c>
      <c r="F16" s="19">
        <f>+E16*D16</f>
        <v>4689064.6452823523</v>
      </c>
      <c r="H16">
        <v>1466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703359.69679235283</v>
      </c>
    </row>
    <row r="18" spans="1:6" s="5" customFormat="1" x14ac:dyDescent="0.35">
      <c r="D18" s="22"/>
      <c r="E18" s="23" t="s">
        <v>29</v>
      </c>
      <c r="F18" s="19">
        <f>+F17+F16</f>
        <v>5392424.3420747053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161772.73026224115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431393.9473659764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41318.400000000001</v>
      </c>
    </row>
    <row r="26" spans="1:6" x14ac:dyDescent="0.35">
      <c r="A26" t="s">
        <v>24</v>
      </c>
      <c r="E26" s="3">
        <v>0.05</v>
      </c>
      <c r="F26" s="18">
        <f>+E26*$F$3</f>
        <v>20659.2</v>
      </c>
    </row>
    <row r="27" spans="1:6" x14ac:dyDescent="0.35">
      <c r="F27" s="19">
        <f>SUM(F25:F26)</f>
        <v>61977.600000000006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45119.692800000004</v>
      </c>
    </row>
    <row r="30" spans="1:6" x14ac:dyDescent="0.35">
      <c r="A30" t="s">
        <v>19</v>
      </c>
      <c r="E30" s="15">
        <v>5.0000000000000001E-3</v>
      </c>
      <c r="F30" s="18">
        <f>+E30*$F$12</f>
        <v>22559.846400000002</v>
      </c>
    </row>
    <row r="31" spans="1:6" x14ac:dyDescent="0.35">
      <c r="F31" s="19">
        <f>SUM(F29:F30)</f>
        <v>67679.539199999999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6115248.1589029226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917287.22383543837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7032535.3827383611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-2212055.3827383611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F01A-4903-4A31-8F23-0E524AFAB8B6}">
  <dimension ref="A1:I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4" sqref="D4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3600*10.76</f>
        <v>38736</v>
      </c>
      <c r="E3" s="13">
        <v>5</v>
      </c>
      <c r="F3" s="10">
        <f>+E3*D3</f>
        <v>193680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193680</v>
      </c>
      <c r="D7" s="6" t="s">
        <v>13</v>
      </c>
      <c r="E7" s="15">
        <v>7.4999999999999997E-2</v>
      </c>
      <c r="F7" s="14">
        <f>1/E7</f>
        <v>13.333333333333334</v>
      </c>
    </row>
    <row r="8" spans="1:9" x14ac:dyDescent="0.35">
      <c r="A8" t="s">
        <v>11</v>
      </c>
      <c r="D8" t="s">
        <v>12</v>
      </c>
      <c r="E8" s="15">
        <f>+E7</f>
        <v>7.4999999999999997E-2</v>
      </c>
      <c r="F8" s="17">
        <f>+F7/15</f>
        <v>0.88888888888888895</v>
      </c>
      <c r="G8" s="4">
        <f>+(F7-F8)*C7</f>
        <v>2410240</v>
      </c>
    </row>
    <row r="10" spans="1:9" x14ac:dyDescent="0.35">
      <c r="C10" t="s">
        <v>14</v>
      </c>
      <c r="E10" s="15">
        <v>6.4000000000000001E-2</v>
      </c>
      <c r="F10" s="18">
        <f>-G8*E10</f>
        <v>-154255.36000000002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2255984.6400000001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38736</v>
      </c>
      <c r="E16" s="13">
        <f>+H16/10.7649</f>
        <v>136.18333658464081</v>
      </c>
      <c r="F16" s="19">
        <f>+E16*D16</f>
        <v>5275197.7259426462</v>
      </c>
      <c r="H16">
        <v>1466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791279.65889139695</v>
      </c>
    </row>
    <row r="18" spans="1:6" s="5" customFormat="1" x14ac:dyDescent="0.35">
      <c r="D18" s="22"/>
      <c r="E18" s="23" t="s">
        <v>29</v>
      </c>
      <c r="F18" s="19">
        <f>+F17+F16</f>
        <v>6066477.3848340428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181994.32154502129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485318.19078672345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19368</v>
      </c>
    </row>
    <row r="26" spans="1:6" x14ac:dyDescent="0.35">
      <c r="A26" t="s">
        <v>24</v>
      </c>
      <c r="E26" s="3">
        <v>0.05</v>
      </c>
      <c r="F26" s="18">
        <f>+E26*$F$3</f>
        <v>9684</v>
      </c>
    </row>
    <row r="27" spans="1:6" x14ac:dyDescent="0.35">
      <c r="F27" s="19">
        <f>SUM(F25:F26)</f>
        <v>29052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22559.846400000002</v>
      </c>
    </row>
    <row r="30" spans="1:6" x14ac:dyDescent="0.35">
      <c r="A30" t="s">
        <v>19</v>
      </c>
      <c r="E30" s="15">
        <v>5.0000000000000001E-3</v>
      </c>
      <c r="F30" s="18">
        <f>+E30*$F$12</f>
        <v>11279.923200000001</v>
      </c>
    </row>
    <row r="31" spans="1:6" x14ac:dyDescent="0.35">
      <c r="F31" s="19">
        <f>SUM(F29:F30)</f>
        <v>33839.7696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6796681.6667657876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1019502.2500148681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7816183.9167806562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-5405943.9167806562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1BA7-5C1E-495F-8DD4-2BEDDBFC05C8}">
  <dimension ref="A1:I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H16" sqref="H16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2900*10.76</f>
        <v>31204</v>
      </c>
      <c r="E3" s="13">
        <v>5</v>
      </c>
      <c r="F3" s="10">
        <f>+E3*D3</f>
        <v>156020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156020</v>
      </c>
      <c r="D7" s="6" t="s">
        <v>13</v>
      </c>
      <c r="E7" s="20">
        <v>5.7500000000000002E-2</v>
      </c>
      <c r="F7" s="14">
        <f>1/E7</f>
        <v>17.391304347826086</v>
      </c>
    </row>
    <row r="8" spans="1:9" x14ac:dyDescent="0.35">
      <c r="A8" t="s">
        <v>11</v>
      </c>
      <c r="D8" t="s">
        <v>12</v>
      </c>
      <c r="E8" s="21">
        <f>+E7</f>
        <v>5.7500000000000002E-2</v>
      </c>
      <c r="F8" s="17">
        <f>+F7/15</f>
        <v>1.1594202898550725</v>
      </c>
      <c r="G8" s="4">
        <f>+(F7-F8)*C7</f>
        <v>2532498.5507246372</v>
      </c>
    </row>
    <row r="10" spans="1:9" x14ac:dyDescent="0.35">
      <c r="C10" t="s">
        <v>14</v>
      </c>
      <c r="E10" s="15">
        <v>6.4000000000000001E-2</v>
      </c>
      <c r="F10" s="18">
        <f>-G8*E10</f>
        <v>-162079.9072463768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2370418.6434782604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31204</v>
      </c>
      <c r="E16" s="13">
        <f>+H16/10.7649</f>
        <v>136.18333658464081</v>
      </c>
      <c r="F16" s="19">
        <f>+E16*D16</f>
        <v>4249464.8347871322</v>
      </c>
      <c r="H16">
        <v>1466</v>
      </c>
      <c r="I16" t="s">
        <v>26</v>
      </c>
    </row>
    <row r="17" spans="1:6" s="5" customFormat="1" x14ac:dyDescent="0.35">
      <c r="D17" s="22"/>
      <c r="E17" s="23" t="s">
        <v>28</v>
      </c>
      <c r="F17" s="19">
        <f>+F16*0.15</f>
        <v>637419.72521806986</v>
      </c>
    </row>
    <row r="18" spans="1:6" s="5" customFormat="1" x14ac:dyDescent="0.35">
      <c r="D18" s="22"/>
      <c r="E18" s="23" t="s">
        <v>29</v>
      </c>
      <c r="F18" s="19">
        <f>+F17+F16</f>
        <v>4886884.560005202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146606.53680015606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390950.76480041619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15602</v>
      </c>
    </row>
    <row r="26" spans="1:6" x14ac:dyDescent="0.35">
      <c r="A26" t="s">
        <v>24</v>
      </c>
      <c r="E26" s="3">
        <v>0.05</v>
      </c>
      <c r="F26" s="18">
        <f>+E26*$F$3</f>
        <v>7801</v>
      </c>
    </row>
    <row r="27" spans="1:6" x14ac:dyDescent="0.35">
      <c r="F27" s="19">
        <f>SUM(F25:F26)</f>
        <v>23403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23704.186434782605</v>
      </c>
    </row>
    <row r="30" spans="1:6" x14ac:dyDescent="0.35">
      <c r="A30" t="s">
        <v>19</v>
      </c>
      <c r="E30" s="15">
        <v>5.0000000000000001E-3</v>
      </c>
      <c r="F30" s="18">
        <f>+E30*$F$12</f>
        <v>11852.093217391302</v>
      </c>
    </row>
    <row r="31" spans="1:6" x14ac:dyDescent="0.35">
      <c r="F31" s="19">
        <f>SUM(F29:F30)</f>
        <v>35556.279652173907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5483401.1412579482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822510.17118869221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6305911.3124466408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-3773412.7617220036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FDDD-3D0A-45B5-A4E4-1DB79774CFE5}">
  <dimension ref="A1:J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3" sqref="D3"/>
    </sheetView>
  </sheetViews>
  <sheetFormatPr defaultRowHeight="14.5" x14ac:dyDescent="0.35"/>
  <cols>
    <col min="3" max="3" width="11.90625" customWidth="1"/>
    <col min="4" max="4" width="9.08984375" bestFit="1" customWidth="1"/>
    <col min="5" max="5" width="9.90625" bestFit="1" customWidth="1"/>
    <col min="6" max="6" width="15.1796875" bestFit="1" customWidth="1"/>
    <col min="7" max="7" width="19" customWidth="1"/>
  </cols>
  <sheetData>
    <row r="1" spans="1:10" x14ac:dyDescent="0.35">
      <c r="A1" t="s">
        <v>4</v>
      </c>
    </row>
    <row r="2" spans="1:10" x14ac:dyDescent="0.35">
      <c r="C2" s="7" t="s">
        <v>2</v>
      </c>
      <c r="D2" s="7" t="s">
        <v>6</v>
      </c>
      <c r="E2" s="7" t="s">
        <v>7</v>
      </c>
      <c r="F2" s="7" t="s">
        <v>8</v>
      </c>
    </row>
    <row r="3" spans="1:10" x14ac:dyDescent="0.35">
      <c r="A3" t="s">
        <v>5</v>
      </c>
      <c r="C3" s="8">
        <v>1</v>
      </c>
      <c r="D3" s="12">
        <f>6900*10.76</f>
        <v>74244</v>
      </c>
      <c r="E3" s="13">
        <v>4</v>
      </c>
      <c r="F3" s="10">
        <f>+E3*D3</f>
        <v>296976</v>
      </c>
    </row>
    <row r="5" spans="1:10" x14ac:dyDescent="0.35">
      <c r="A5" t="s">
        <v>9</v>
      </c>
    </row>
    <row r="7" spans="1:10" x14ac:dyDescent="0.35">
      <c r="A7" t="s">
        <v>10</v>
      </c>
      <c r="C7" s="11">
        <f>+F3</f>
        <v>296976</v>
      </c>
      <c r="D7" s="6" t="s">
        <v>13</v>
      </c>
      <c r="E7" s="20">
        <v>5.7500000000000002E-2</v>
      </c>
      <c r="F7" s="14">
        <f>1/E7</f>
        <v>17.391304347826086</v>
      </c>
    </row>
    <row r="8" spans="1:10" x14ac:dyDescent="0.35">
      <c r="A8" t="s">
        <v>11</v>
      </c>
      <c r="D8" t="s">
        <v>12</v>
      </c>
      <c r="E8" s="21">
        <f>+E7</f>
        <v>5.7500000000000002E-2</v>
      </c>
      <c r="F8" s="17">
        <f>+F7/15</f>
        <v>1.1594202898550725</v>
      </c>
      <c r="G8" s="4">
        <f>+(F7-F8)*C7</f>
        <v>4820479.9999999991</v>
      </c>
    </row>
    <row r="10" spans="1:10" x14ac:dyDescent="0.35">
      <c r="C10" t="s">
        <v>14</v>
      </c>
      <c r="E10" s="15">
        <v>6.4000000000000001E-2</v>
      </c>
      <c r="F10" s="18">
        <f>-G8*E10</f>
        <v>-308510.71999999997</v>
      </c>
    </row>
    <row r="11" spans="1:10" x14ac:dyDescent="0.35">
      <c r="F11" s="18"/>
    </row>
    <row r="12" spans="1:10" x14ac:dyDescent="0.35">
      <c r="E12" s="9" t="s">
        <v>15</v>
      </c>
      <c r="F12" s="18">
        <f>+G8+F10</f>
        <v>4511969.2799999993</v>
      </c>
    </row>
    <row r="13" spans="1:10" x14ac:dyDescent="0.35">
      <c r="F13" s="18"/>
      <c r="H13">
        <f>1/0.07</f>
        <v>14.285714285714285</v>
      </c>
      <c r="I13">
        <f>+H13/15</f>
        <v>0.95238095238095233</v>
      </c>
    </row>
    <row r="14" spans="1:10" x14ac:dyDescent="0.35">
      <c r="F14" s="18"/>
    </row>
    <row r="15" spans="1:10" x14ac:dyDescent="0.35">
      <c r="D15" s="7" t="s">
        <v>6</v>
      </c>
      <c r="E15" s="7" t="s">
        <v>7</v>
      </c>
      <c r="F15" s="18"/>
    </row>
    <row r="16" spans="1:10" x14ac:dyDescent="0.35">
      <c r="A16" t="s">
        <v>16</v>
      </c>
      <c r="D16" s="16">
        <f>+D3</f>
        <v>74244</v>
      </c>
      <c r="E16" s="13">
        <f>+H16/10.7649</f>
        <v>82.676104747837869</v>
      </c>
      <c r="F16" s="19">
        <f>+E16*D16</f>
        <v>6138204.7208984746</v>
      </c>
      <c r="H16">
        <v>890</v>
      </c>
      <c r="I16" t="s">
        <v>26</v>
      </c>
      <c r="J16" t="s">
        <v>30</v>
      </c>
    </row>
    <row r="17" spans="1:6" s="5" customFormat="1" x14ac:dyDescent="0.35">
      <c r="D17" s="22"/>
      <c r="E17" s="23" t="s">
        <v>28</v>
      </c>
      <c r="F17" s="19">
        <f>+F16*0.15</f>
        <v>920730.70813477121</v>
      </c>
    </row>
    <row r="18" spans="1:6" s="5" customFormat="1" x14ac:dyDescent="0.35">
      <c r="D18" s="22"/>
      <c r="E18" s="23" t="s">
        <v>29</v>
      </c>
      <c r="F18" s="19">
        <f>+F17+F16</f>
        <v>7058935.4290332459</v>
      </c>
    </row>
    <row r="19" spans="1:6" x14ac:dyDescent="0.35">
      <c r="F19" s="18"/>
    </row>
    <row r="20" spans="1:6" x14ac:dyDescent="0.35">
      <c r="A20" t="s">
        <v>0</v>
      </c>
      <c r="E20" s="3">
        <v>0.03</v>
      </c>
      <c r="F20" s="19">
        <f>+E20*$F$18</f>
        <v>211768.06287099738</v>
      </c>
    </row>
    <row r="21" spans="1:6" x14ac:dyDescent="0.35">
      <c r="F21" s="18"/>
    </row>
    <row r="22" spans="1:6" x14ac:dyDescent="0.35">
      <c r="A22" t="s">
        <v>17</v>
      </c>
      <c r="E22" s="3">
        <v>0.08</v>
      </c>
      <c r="F22" s="19">
        <f>+E22*$F$18</f>
        <v>564714.83432265965</v>
      </c>
    </row>
    <row r="23" spans="1:6" x14ac:dyDescent="0.35">
      <c r="F23" s="18"/>
    </row>
    <row r="24" spans="1:6" x14ac:dyDescent="0.35">
      <c r="A24" t="s">
        <v>1</v>
      </c>
      <c r="F24" s="18"/>
    </row>
    <row r="25" spans="1:6" x14ac:dyDescent="0.35">
      <c r="A25" t="s">
        <v>23</v>
      </c>
      <c r="E25" s="3">
        <v>0.1</v>
      </c>
      <c r="F25" s="18">
        <f>+E25*$F$3</f>
        <v>29697.600000000002</v>
      </c>
    </row>
    <row r="26" spans="1:6" x14ac:dyDescent="0.35">
      <c r="A26" t="s">
        <v>24</v>
      </c>
      <c r="E26" s="3">
        <v>0.05</v>
      </c>
      <c r="F26" s="18">
        <f>+E26*$F$3</f>
        <v>14848.800000000001</v>
      </c>
    </row>
    <row r="27" spans="1:6" x14ac:dyDescent="0.35">
      <c r="F27" s="19">
        <f>SUM(F25:F26)</f>
        <v>44546.400000000001</v>
      </c>
    </row>
    <row r="28" spans="1:6" x14ac:dyDescent="0.35">
      <c r="F28" s="18"/>
    </row>
    <row r="29" spans="1:6" x14ac:dyDescent="0.35">
      <c r="A29" t="s">
        <v>18</v>
      </c>
      <c r="E29" s="3">
        <v>0.01</v>
      </c>
      <c r="F29" s="18">
        <f>+E29*$F$12</f>
        <v>45119.692799999997</v>
      </c>
    </row>
    <row r="30" spans="1:6" x14ac:dyDescent="0.35">
      <c r="A30" t="s">
        <v>19</v>
      </c>
      <c r="E30" s="15">
        <v>5.0000000000000001E-3</v>
      </c>
      <c r="F30" s="18">
        <f>+E30*$F$12</f>
        <v>22559.846399999999</v>
      </c>
    </row>
    <row r="31" spans="1:6" x14ac:dyDescent="0.35">
      <c r="F31" s="19">
        <f>SUM(F29:F30)</f>
        <v>67679.539199999999</v>
      </c>
    </row>
    <row r="32" spans="1:6" x14ac:dyDescent="0.35">
      <c r="F32" s="18"/>
    </row>
    <row r="33" spans="1:6" x14ac:dyDescent="0.35">
      <c r="E33" t="s">
        <v>20</v>
      </c>
      <c r="F33" s="18">
        <f>+F31+F27+F22+F20+F18</f>
        <v>7947644.265426903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1192146.6398140355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9139790.9052409381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-4319310.905240939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294E-348B-4A63-8574-82A64376FA63}">
  <dimension ref="A1:K39"/>
  <sheetViews>
    <sheetView showGridLines="0" workbookViewId="0">
      <pane xSplit="3" ySplit="3" topLeftCell="D4" activePane="bottomRight" state="frozen"/>
      <selection activeCell="H32" sqref="H32"/>
      <selection pane="topRight" activeCell="H32" sqref="H32"/>
      <selection pane="bottomLeft" activeCell="H32" sqref="H32"/>
      <selection pane="bottomRight" activeCell="D3" sqref="D3"/>
    </sheetView>
  </sheetViews>
  <sheetFormatPr defaultRowHeight="14.5" x14ac:dyDescent="0.35"/>
  <cols>
    <col min="3" max="3" width="11.90625" customWidth="1"/>
    <col min="4" max="4" width="9.08984375" bestFit="1" customWidth="1"/>
    <col min="5" max="5" width="10.08984375" bestFit="1" customWidth="1"/>
    <col min="6" max="6" width="15.1796875" bestFit="1" customWidth="1"/>
    <col min="7" max="7" width="19" customWidth="1"/>
  </cols>
  <sheetData>
    <row r="1" spans="1:9" x14ac:dyDescent="0.35">
      <c r="A1" t="s">
        <v>4</v>
      </c>
    </row>
    <row r="2" spans="1:9" x14ac:dyDescent="0.35">
      <c r="C2" s="7" t="s">
        <v>25</v>
      </c>
      <c r="D2" s="7" t="s">
        <v>3</v>
      </c>
      <c r="E2" s="7" t="s">
        <v>7</v>
      </c>
      <c r="F2" s="7" t="s">
        <v>8</v>
      </c>
    </row>
    <row r="3" spans="1:9" x14ac:dyDescent="0.35">
      <c r="A3" t="s">
        <v>5</v>
      </c>
      <c r="C3" s="8">
        <v>1</v>
      </c>
      <c r="D3" s="12">
        <f>2500*10.76</f>
        <v>26900</v>
      </c>
      <c r="E3" s="13">
        <v>18</v>
      </c>
      <c r="F3" s="10">
        <f>+E3*D3</f>
        <v>484200</v>
      </c>
    </row>
    <row r="5" spans="1:9" x14ac:dyDescent="0.35">
      <c r="A5" t="s">
        <v>9</v>
      </c>
    </row>
    <row r="7" spans="1:9" x14ac:dyDescent="0.35">
      <c r="A7" t="s">
        <v>10</v>
      </c>
      <c r="C7" s="11">
        <f>+F3</f>
        <v>484200</v>
      </c>
      <c r="D7" s="6" t="s">
        <v>13</v>
      </c>
      <c r="E7" s="20">
        <v>5.7500000000000002E-2</v>
      </c>
      <c r="F7" s="14">
        <f>1/E7</f>
        <v>17.391304347826086</v>
      </c>
    </row>
    <row r="8" spans="1:9" x14ac:dyDescent="0.35">
      <c r="A8" t="s">
        <v>11</v>
      </c>
      <c r="D8" t="s">
        <v>12</v>
      </c>
      <c r="E8" s="21">
        <f>+E7</f>
        <v>5.7500000000000002E-2</v>
      </c>
      <c r="F8" s="17">
        <f>+F7/15</f>
        <v>1.1594202898550725</v>
      </c>
      <c r="G8" s="4">
        <f>+(F7-F8)*C7</f>
        <v>7859478.2608695636</v>
      </c>
    </row>
    <row r="10" spans="1:9" x14ac:dyDescent="0.35">
      <c r="C10" t="s">
        <v>14</v>
      </c>
      <c r="E10" s="15">
        <v>6.4000000000000001E-2</v>
      </c>
      <c r="F10" s="18">
        <f>-G8*E10</f>
        <v>-503006.6086956521</v>
      </c>
    </row>
    <row r="11" spans="1:9" x14ac:dyDescent="0.35">
      <c r="F11" s="18"/>
    </row>
    <row r="12" spans="1:9" x14ac:dyDescent="0.35">
      <c r="E12" s="9" t="s">
        <v>15</v>
      </c>
      <c r="F12" s="18">
        <f>+G8+F10</f>
        <v>7356471.6521739112</v>
      </c>
    </row>
    <row r="13" spans="1:9" x14ac:dyDescent="0.35">
      <c r="F13" s="18"/>
      <c r="H13">
        <f>1/0.07</f>
        <v>14.285714285714285</v>
      </c>
      <c r="I13">
        <f>+H13/15</f>
        <v>0.95238095238095233</v>
      </c>
    </row>
    <row r="14" spans="1:9" x14ac:dyDescent="0.35">
      <c r="F14" s="18"/>
    </row>
    <row r="15" spans="1:9" x14ac:dyDescent="0.35">
      <c r="D15" s="7" t="s">
        <v>6</v>
      </c>
      <c r="E15" s="7" t="s">
        <v>7</v>
      </c>
      <c r="F15" s="18"/>
    </row>
    <row r="16" spans="1:9" x14ac:dyDescent="0.35">
      <c r="A16" t="s">
        <v>16</v>
      </c>
      <c r="D16" s="16">
        <f>+D3</f>
        <v>26900</v>
      </c>
      <c r="E16" s="13">
        <f>+H16/10.7649</f>
        <v>177.89296695742644</v>
      </c>
      <c r="F16" s="19">
        <f>+E16*D16</f>
        <v>4785320.8111547716</v>
      </c>
      <c r="H16" s="2">
        <v>1915</v>
      </c>
      <c r="I16" t="s">
        <v>26</v>
      </c>
    </row>
    <row r="17" spans="1:11" s="5" customFormat="1" x14ac:dyDescent="0.35">
      <c r="D17" s="22"/>
      <c r="E17" s="23" t="s">
        <v>28</v>
      </c>
      <c r="F17" s="19">
        <f>+F16*0.15</f>
        <v>717798.12167321576</v>
      </c>
    </row>
    <row r="18" spans="1:11" s="5" customFormat="1" x14ac:dyDescent="0.35">
      <c r="D18" s="22"/>
      <c r="E18" s="23" t="s">
        <v>29</v>
      </c>
      <c r="F18" s="19">
        <f>+F17+F16</f>
        <v>5503118.9328279877</v>
      </c>
    </row>
    <row r="19" spans="1:11" x14ac:dyDescent="0.35">
      <c r="F19" s="18"/>
    </row>
    <row r="20" spans="1:11" x14ac:dyDescent="0.35">
      <c r="A20" t="s">
        <v>0</v>
      </c>
      <c r="E20" s="3">
        <v>0.03</v>
      </c>
      <c r="F20" s="19">
        <f>+E20*$F$18</f>
        <v>165093.56798483964</v>
      </c>
      <c r="K20" s="4"/>
    </row>
    <row r="21" spans="1:11" x14ac:dyDescent="0.35">
      <c r="F21" s="18"/>
    </row>
    <row r="22" spans="1:11" x14ac:dyDescent="0.35">
      <c r="A22" t="s">
        <v>17</v>
      </c>
      <c r="E22" s="3">
        <v>0.08</v>
      </c>
      <c r="F22" s="19">
        <f>+E22*$F$18</f>
        <v>440249.51462623902</v>
      </c>
    </row>
    <row r="23" spans="1:11" x14ac:dyDescent="0.35">
      <c r="F23" s="18"/>
    </row>
    <row r="24" spans="1:11" x14ac:dyDescent="0.35">
      <c r="A24" t="s">
        <v>1</v>
      </c>
      <c r="F24" s="18"/>
    </row>
    <row r="25" spans="1:11" x14ac:dyDescent="0.35">
      <c r="A25" t="s">
        <v>23</v>
      </c>
      <c r="E25" s="3">
        <v>0.1</v>
      </c>
      <c r="F25" s="18">
        <f>+E25*$F$3</f>
        <v>48420</v>
      </c>
    </row>
    <row r="26" spans="1:11" x14ac:dyDescent="0.35">
      <c r="A26" t="s">
        <v>24</v>
      </c>
      <c r="E26" s="3">
        <v>0.05</v>
      </c>
      <c r="F26" s="18">
        <f>+E26*$F$3</f>
        <v>24210</v>
      </c>
    </row>
    <row r="27" spans="1:11" x14ac:dyDescent="0.35">
      <c r="F27" s="19">
        <f>SUM(F25:F26)</f>
        <v>72630</v>
      </c>
    </row>
    <row r="28" spans="1:11" x14ac:dyDescent="0.35">
      <c r="F28" s="18"/>
    </row>
    <row r="29" spans="1:11" x14ac:dyDescent="0.35">
      <c r="A29" t="s">
        <v>18</v>
      </c>
      <c r="E29" s="3">
        <v>0.01</v>
      </c>
      <c r="F29" s="18">
        <f>+E29*$F$12</f>
        <v>73564.716521739116</v>
      </c>
    </row>
    <row r="30" spans="1:11" x14ac:dyDescent="0.35">
      <c r="A30" t="s">
        <v>19</v>
      </c>
      <c r="E30" s="15">
        <v>5.0000000000000001E-3</v>
      </c>
      <c r="F30" s="18">
        <f>+E30*$F$12</f>
        <v>36782.358260869558</v>
      </c>
    </row>
    <row r="31" spans="1:11" x14ac:dyDescent="0.35">
      <c r="F31" s="19">
        <f>SUM(F29:F30)</f>
        <v>110347.07478260867</v>
      </c>
    </row>
    <row r="32" spans="1:11" x14ac:dyDescent="0.35">
      <c r="F32" s="18"/>
    </row>
    <row r="33" spans="1:6" x14ac:dyDescent="0.35">
      <c r="E33" t="s">
        <v>20</v>
      </c>
      <c r="F33" s="18">
        <f>+F31+F27+F22+F20+F18</f>
        <v>6291439.0902216751</v>
      </c>
    </row>
    <row r="34" spans="1:6" x14ac:dyDescent="0.35">
      <c r="F34" s="18"/>
    </row>
    <row r="35" spans="1:6" x14ac:dyDescent="0.35">
      <c r="A35" t="s">
        <v>21</v>
      </c>
      <c r="E35" s="1">
        <v>0.15</v>
      </c>
      <c r="F35" s="18">
        <f>+F33*E35</f>
        <v>943715.86353325122</v>
      </c>
    </row>
    <row r="36" spans="1:6" x14ac:dyDescent="0.35">
      <c r="F36" s="18"/>
    </row>
    <row r="37" spans="1:6" x14ac:dyDescent="0.35">
      <c r="E37" t="s">
        <v>20</v>
      </c>
      <c r="F37" s="18">
        <f>+F35+F33</f>
        <v>7235154.9537549261</v>
      </c>
    </row>
    <row r="38" spans="1:6" x14ac:dyDescent="0.35">
      <c r="F38" s="18"/>
    </row>
    <row r="39" spans="1:6" x14ac:dyDescent="0.35">
      <c r="E39" s="9" t="s">
        <v>22</v>
      </c>
      <c r="F39" s="18">
        <f>+G8-F37</f>
        <v>624323.30711463746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G1 A1 Disc Sup</vt:lpstr>
      <vt:lpstr>G2 Retail Ware</vt:lpstr>
      <vt:lpstr>G3 A1 - A5</vt:lpstr>
      <vt:lpstr>G4 B1a</vt:lpstr>
      <vt:lpstr>G5 B1a (2)</vt:lpstr>
      <vt:lpstr>G6 B1c</vt:lpstr>
      <vt:lpstr>G7 B2</vt:lpstr>
      <vt:lpstr>G8 B8</vt:lpstr>
      <vt:lpstr>G9 C1</vt:lpstr>
      <vt:lpstr>G10 D2</vt:lpstr>
    </vt:vector>
  </TitlesOfParts>
  <Company>Xentrall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Simpson</dc:creator>
  <cp:lastModifiedBy>John Simpson</cp:lastModifiedBy>
  <cp:lastPrinted>2019-12-19T13:09:17Z</cp:lastPrinted>
  <dcterms:created xsi:type="dcterms:W3CDTF">2017-12-18T10:09:24Z</dcterms:created>
  <dcterms:modified xsi:type="dcterms:W3CDTF">2020-12-22T12:44:58Z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iteId">
    <vt:lpwstr>c947251d-81c4-4c9b-995d-f3d3b7a048c7</vt:lpwstr>
  </property>
  <property fmtid="{D5CDD505-2E9C-101B-9397-08002B2CF9AE}" pid="4" name="MSIP_Label_b0959cb5-d6fa-43bd-af65-dd08ea55ea38_Owner">
    <vt:lpwstr>John.Simpson@darlington.gov.uk</vt:lpwstr>
  </property>
  <property fmtid="{D5CDD505-2E9C-101B-9397-08002B2CF9AE}" pid="5" name="MSIP_Label_b0959cb5-d6fa-43bd-af65-dd08ea55ea38_SetDate">
    <vt:lpwstr>2019-05-31T05:53:00.9420320Z</vt:lpwstr>
  </property>
  <property fmtid="{D5CDD505-2E9C-101B-9397-08002B2CF9AE}" pid="6" name="MSIP_Label_b0959cb5-d6fa-43bd-af65-dd08ea55ea38_Name">
    <vt:lpwstr>OFFICIAL</vt:lpwstr>
  </property>
  <property fmtid="{D5CDD505-2E9C-101B-9397-08002B2CF9AE}" pid="7" name="MSIP_Label_b0959cb5-d6fa-43bd-af65-dd08ea55ea38_Application">
    <vt:lpwstr>Microsoft Azure Information Protection</vt:lpwstr>
  </property>
  <property fmtid="{D5CDD505-2E9C-101B-9397-08002B2CF9AE}" pid="8" name="MSIP_Label_b0959cb5-d6fa-43bd-af65-dd08ea55ea38_ActionId">
    <vt:lpwstr>a225fe92-7cb8-40ed-8d9d-1ed8c794d1a7</vt:lpwstr>
  </property>
  <property fmtid="{D5CDD505-2E9C-101B-9397-08002B2CF9AE}" pid="9" name="MSIP_Label_b0959cb5-d6fa-43bd-af65-dd08ea55ea38_Extended_MSFT_Method">
    <vt:lpwstr>Automatic</vt:lpwstr>
  </property>
  <property fmtid="{D5CDD505-2E9C-101B-9397-08002B2CF9AE}" pid="10" name="Sensitivity">
    <vt:lpwstr>OFFICIAL</vt:lpwstr>
  </property>
</Properties>
</file>